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USER\Desktop\INDICADORES I SEMESTRE AÑO 2025\"/>
    </mc:Choice>
  </mc:AlternateContent>
  <xr:revisionPtr revIDLastSave="0" documentId="13_ncr:1_{9B0CDD10-6630-453B-818C-5FD5F37931A7}" xr6:coauthVersionLast="47" xr6:coauthVersionMax="47" xr10:uidLastSave="{00000000-0000-0000-0000-000000000000}"/>
  <bookViews>
    <workbookView xWindow="-120" yWindow="-120" windowWidth="20730" windowHeight="11040" activeTab="1" xr2:uid="{00000000-000D-0000-FFFF-FFFF00000000}"/>
  </bookViews>
  <sheets>
    <sheet name="AREA TECNICA" sheetId="1" r:id="rId1"/>
    <sheet name="AREA COMERCIAL" sheetId="2" r:id="rId2"/>
    <sheet name="AREA FINANCIERA" sheetId="6" r:id="rId3"/>
    <sheet name="AREA CONTABLE" sheetId="4" r:id="rId4"/>
    <sheet name="AREA INFORMATICA" sheetId="10" r:id="rId5"/>
    <sheet name="Hoja1" sheetId="11" r:id="rId6"/>
  </sheets>
  <calcPr calcId="191029"/>
</workbook>
</file>

<file path=xl/calcChain.xml><?xml version="1.0" encoding="utf-8"?>
<calcChain xmlns="http://schemas.openxmlformats.org/spreadsheetml/2006/main">
  <c r="I14" i="2" l="1"/>
  <c r="H14" i="2"/>
  <c r="G14" i="2"/>
  <c r="F14" i="2"/>
  <c r="E14" i="2"/>
  <c r="D14" i="2"/>
  <c r="C14" i="2"/>
  <c r="N12" i="2"/>
  <c r="M12" i="2"/>
  <c r="L12" i="2"/>
  <c r="K12" i="2"/>
  <c r="J12" i="2"/>
  <c r="I12" i="2"/>
  <c r="H12" i="2"/>
  <c r="G12" i="2"/>
  <c r="F12" i="2"/>
  <c r="E12" i="2"/>
  <c r="D12" i="2"/>
  <c r="C12" i="2"/>
  <c r="N7" i="2"/>
  <c r="M7" i="2"/>
  <c r="L7" i="2"/>
  <c r="K7" i="2"/>
  <c r="J7" i="2"/>
  <c r="I7" i="2"/>
  <c r="H7" i="2"/>
  <c r="G7" i="2"/>
  <c r="F7" i="2"/>
  <c r="E7" i="2"/>
  <c r="D7" i="2"/>
  <c r="C7" i="2"/>
  <c r="N6" i="2"/>
  <c r="M6" i="2"/>
  <c r="L6" i="2"/>
  <c r="K6" i="2"/>
  <c r="J6" i="2"/>
  <c r="I6" i="2"/>
  <c r="H6" i="2"/>
  <c r="G6" i="2"/>
  <c r="F6" i="2"/>
  <c r="E6" i="2"/>
  <c r="D6" i="2"/>
  <c r="C6" i="2"/>
  <c r="N5" i="2"/>
  <c r="M5" i="2"/>
  <c r="L5" i="2"/>
  <c r="K5" i="2"/>
  <c r="J5" i="2"/>
  <c r="I5" i="2"/>
  <c r="H5" i="2"/>
  <c r="G5" i="2"/>
  <c r="F5" i="2"/>
  <c r="E5" i="2"/>
  <c r="D5" i="2"/>
  <c r="C5" i="2"/>
  <c r="N4" i="2"/>
  <c r="M4" i="2"/>
  <c r="L4" i="2"/>
  <c r="K4" i="2"/>
  <c r="J4" i="2"/>
  <c r="I4" i="2"/>
  <c r="H4" i="2"/>
  <c r="G4" i="2"/>
  <c r="F4" i="2"/>
  <c r="E4" i="2"/>
  <c r="D4" i="2"/>
  <c r="C4" i="2"/>
  <c r="N3" i="2"/>
  <c r="M3" i="2"/>
  <c r="L3" i="2"/>
  <c r="K3" i="2"/>
  <c r="J3" i="2"/>
  <c r="I3" i="2"/>
  <c r="H3" i="2"/>
  <c r="G3" i="2"/>
  <c r="F3" i="2"/>
  <c r="E3" i="2"/>
  <c r="D3" i="2"/>
  <c r="C3" i="2"/>
</calcChain>
</file>

<file path=xl/sharedStrings.xml><?xml version="1.0" encoding="utf-8"?>
<sst xmlns="http://schemas.openxmlformats.org/spreadsheetml/2006/main" count="157" uniqueCount="108">
  <si>
    <t>AREA TECNICA</t>
  </si>
  <si>
    <t>INDICADOR</t>
  </si>
  <si>
    <t>DEFINICION</t>
  </si>
  <si>
    <t>El porcentaje de cobertura nominal ( porcentaje de suscriptores en funcion del numero de domicilios proyeccion DANE)del servicio publico domiciliario  en el municipio de El Carmen de Bolivar</t>
  </si>
  <si>
    <t>Continuidad del servicio de acueducto en término de horas al día en que los municipios prestadores directos suministran el servicio de acueducto a los suscriptores en su municipio.</t>
  </si>
  <si>
    <t>El IRCA es el indice de Riesgos de la calidad del Agua, en el cual indica que para un agua potable, apta para el consumo humano este indicador debe estar por debajo del 5%, por tanto, el agua suministrada a la poblacion con un indicador menor a este porcentaje CUMPLE con las caracteristicas fisico - quimicas y bacteriologicas requeridas por la Res.2115 de 2007 expedida por el entonces Ministerio de la Proteccion Social, Ministerio de Ambiente y Desarrollo Territorial.</t>
  </si>
  <si>
    <t>AREA COMERCIAL</t>
  </si>
  <si>
    <t>INDICE DE CONSUMOS PROMEDIOS</t>
  </si>
  <si>
    <t>INDICE DE ERRORES EN TOMA DE LECTURAS</t>
  </si>
  <si>
    <t>INDICADOR DE EFICIENCIA DEL RECAUDO POR MES FACTURADO</t>
  </si>
  <si>
    <t>INDICADOR DE EFICIENCIA DE LA CARTERA VENCIDA MENSUAL</t>
  </si>
  <si>
    <t>Este indicador mide la proporción de quejas de tipo comercial (errores de facturación, desviación significativa, etc) que son atendidas por la Persona Prestadora frente al número de suscriptores. Los reclamos de los suscriptores deberán ser atendidos dentro de un plazo razonablemente reducido, solucionado de manera sustancial y satisfactoria el asunto sometido a su conocimiento, de acuerdo a lo establecido en su respectivo contrato de condiciones uniformes.
 IRCI = (Número de reclamaciones comerciales / Número total de suscriptores acueducto) X 100 (%)</t>
  </si>
  <si>
    <t>FACTURACION CORRIENTE</t>
  </si>
  <si>
    <t>RECAUDO CORRIENTE</t>
  </si>
  <si>
    <t>RECAUDO DE CARTERA</t>
  </si>
  <si>
    <t xml:space="preserve">ÍNDICE DE RECLAMACION COMERCIAL  (IRCi) -NUMERO DE QUEJAS FORMULADAS Y ATENDIDAS -PQR </t>
  </si>
  <si>
    <t>AREA CONTABLE</t>
  </si>
  <si>
    <t>PORCENTAJE DE USUARIOS A CRITICA</t>
  </si>
  <si>
    <t>AREA FINANCIERA</t>
  </si>
  <si>
    <t>NUMERO DE CORTES</t>
  </si>
  <si>
    <t>NUMERO DE REINSTALACIONES</t>
  </si>
  <si>
    <t>NUEVAS ACOMETIDAS</t>
  </si>
  <si>
    <t>NUMERO DE MEDIDORES CAMBIADOS</t>
  </si>
  <si>
    <t>NUMERO DE RECONEXIONES</t>
  </si>
  <si>
    <t>ENERO</t>
  </si>
  <si>
    <t>FEBRERO</t>
  </si>
  <si>
    <t>MARZO</t>
  </si>
  <si>
    <t>ABRIL</t>
  </si>
  <si>
    <t>MAYO</t>
  </si>
  <si>
    <t>JUNIO</t>
  </si>
  <si>
    <t>JULIO</t>
  </si>
  <si>
    <t>&gt;=98,36%</t>
  </si>
  <si>
    <t xml:space="preserve">META ESTÁNDAR </t>
  </si>
  <si>
    <t>IRCA &lt;=5%</t>
  </si>
  <si>
    <t>INDICE DE AGUA NO CONTABILIZADA CON RESPECTO A LA SUMINISTRADA (%)</t>
  </si>
  <si>
    <t xml:space="preserve">Muestra  el  porcentaje  de  pérdidas de agua en que la empresa incurre en su operación normal </t>
  </si>
  <si>
    <t>&gt;34</t>
  </si>
  <si>
    <t>ÍNDICE DE PERDIDAS DE AGUA EN LÍNEA DE ADUCCIÓN (%)</t>
  </si>
  <si>
    <t>El índice de pérdidas de agua en una línea de aducción es un porcentaje que mide el volumen de agua que se pierde físicamente en el transporte desde la captación hasta el punto de tratamiento o distribución, debido a fugas, roturas u otros daños en la tubería. Se calcula dividiendo las pérdidas reales (agua que sale del sistema sin ser contabilizada) entre el volumen total de agua introducida en la aducción, expresado en porcentaje</t>
  </si>
  <si>
    <t>REPARACION DE ACOMETIDA</t>
  </si>
  <si>
    <t>REPARACION RED DISTRIBUCION</t>
  </si>
  <si>
    <t>REPARACION LINEA DE ADUCCION</t>
  </si>
  <si>
    <t>La reparación de una línea de aducción implica la intervención en las tuberías que transportan agua cruda desde la captación hasta el punto de tratamiento o consumo, realizando acciones como la reparación de fugas o el reemplazo de válvulas para restaurar su funcionamiento normal</t>
  </si>
  <si>
    <t>PORCENTAJE EJECUCION DE EGRESOS</t>
  </si>
  <si>
    <t xml:space="preserve">PORCENTAJE EJECUCION DE INGRESOS </t>
  </si>
  <si>
    <t>INDICADOR DE CARTERA ($)</t>
  </si>
  <si>
    <t>NUMERO DE SUSCRIPTORES</t>
  </si>
  <si>
    <t>Proceso mediante el cual se brinda la reanudacion del servicio</t>
  </si>
  <si>
    <t>(Total recauado/total de la cartera )x 100 mes a mes(%)</t>
  </si>
  <si>
    <t>Muestra el porcentaje de errores en toma de lecturas en relacion al total de las lecturas realizadas(%)</t>
  </si>
  <si>
    <t>(Total recaudado / Total facturado) x 100% - mes a mes(%)</t>
  </si>
  <si>
    <t>Es la facturacion total de usuarios mes a mes($)</t>
  </si>
  <si>
    <t>Es el recaudo del mes inmediatamente facturado($)</t>
  </si>
  <si>
    <t>El recaudo de cartera de meses anteriores($)</t>
  </si>
  <si>
    <t>Usuarios que salen a revision por desviaciones(%)</t>
  </si>
  <si>
    <t>Muestra el porcentaje de consumos facturados por el promedio en relacion al numero total de suscriptores que tiene la Empresa(m3)</t>
  </si>
  <si>
    <t>El valor de la  cartera total comercial mes por mes</t>
  </si>
  <si>
    <t>Cantidad de suscriptores del servicio de acueducto es el número total de personas naturales o jurídicas que han celebrado un contrato para recibir el servicio de distribución de agua potable de una empresa prestador(cantidad)</t>
  </si>
  <si>
    <t>Cortes de servicios y desconexion de la red (cantidad)</t>
  </si>
  <si>
    <t>Los medidores se cambian por motivo  mal funcionamiento(cantidad)</t>
  </si>
  <si>
    <t>Proceso de instalacion de servicio a nuevo suscriptores (cantidad)</t>
  </si>
  <si>
    <t>La reparación de una acometida de acueducto generalmente implica contactar a la empresa de acueducto local para reportar la falla, especialmente si está en el tramo de la red pública(cantidad)</t>
  </si>
  <si>
    <t>Ejecución de gastos a nivel de obligacion (%)</t>
  </si>
  <si>
    <t>Ejecución de ingresdos sobre los fondos recaudados en los diferentes periodos en comparacion con el resupuesto definitivo (%)</t>
  </si>
  <si>
    <t>VISITAS TECNICAS VIABILIDAD DE ACOMETIDAS</t>
  </si>
  <si>
    <t xml:space="preserve">La viabilidad de una acometida de acueducto se refiere a la certificacion técnica y el cumplimiento de requisitos para conectar un predio a la red de acueducto </t>
  </si>
  <si>
    <t>DIAS DE CARTERA (DIAS)</t>
  </si>
  <si>
    <t>Dias de recuperacion de cartera</t>
  </si>
  <si>
    <t>ROTACION DE CARTERA (VECES)</t>
  </si>
  <si>
    <t>Veces que rota la cartera dentro del mes</t>
  </si>
  <si>
    <t>INDICADORES DE LIQUIDEZ%</t>
  </si>
  <si>
    <t>PORCENTAJE DE ENDEUDAMIENTO%</t>
  </si>
  <si>
    <t>PORCENTAJE DE CUENTAS POR COBRAR%</t>
  </si>
  <si>
    <t>POCENTAJE CUENTAS POR PAGAR%</t>
  </si>
  <si>
    <t>NOMBRE DEL INDICADOR</t>
  </si>
  <si>
    <t>COBERTURA DE ACUEDUCTO(%)</t>
  </si>
  <si>
    <t>CONTINUIDAD ACUEDUCTO(%)</t>
  </si>
  <si>
    <t>IRCA - INDICE DE RIESGO DE LA CALIDAD DEL AGUA PARA CONSUMO HUMANO(%)</t>
  </si>
  <si>
    <t>EFICIENCIA DE LA MEDICION(%)</t>
  </si>
  <si>
    <t>ENSAYOS DE CALIDAD DE AGUA -FISICOQUIMICOS
(CANTIDAD)</t>
  </si>
  <si>
    <t>ENSAYOS DE CALIDAD DE AGUA -MICROBIOLOGICOS
(CANTIDAD)</t>
  </si>
  <si>
    <t>Pruebas de laboratori microbiologicos -bacterias (cantidad)</t>
  </si>
  <si>
    <t>Pruebas de laboratorio cuyas muestras fueron tomadas en los tanques de almacenamiento de El Prado y puntos de muestreo en redes de distribución ubicados en los sectores hidráulicos(cantidad)</t>
  </si>
  <si>
    <t>Corrección de averías y fugas en sistemas de agua que incluyen desde inspecciones y limpiezas hasta la sustitución de componentes dañados, con el objetivo de restaurar el servicio y garantizar el buen funcionamiento</t>
  </si>
  <si>
    <t>Conexiones desde la red (cantidad)</t>
  </si>
  <si>
    <t>Hace referencia a la capacidad que tiene una entidad para conseguir dinero efectivo en el menor tiempo posible, es decir, el poder que tiene para obtenerlo a través de sus activos, a fin de que pueda responder a sus obligaciones, cuyos  vencimientos están a corto plazo.</t>
  </si>
  <si>
    <t>Mide la proporcion de deuda de la empresa, en relacion con su patrimonio o activos totales</t>
  </si>
  <si>
    <t>N/A</t>
  </si>
  <si>
    <t xml:space="preserve">La eficiencia de medición en un acueducto se refiere al cálculo del porcentaje de agua que se factura o contabiliza en comparación con el volumen que se suministra en la red de distribución, siendo un indicador clave de la eficiencia física del sistema(%), Eficiencia de medición (%) = (Volumen de agua facturada / Volumen de agua suministrada) * 100 </t>
  </si>
  <si>
    <t>&gt;=99</t>
  </si>
  <si>
    <t>EL indicador de cuentas por cobrar,es una métrica que compara el monto efectivamente cobrado de las deudas pendientes con el total de los montos que se esperaban cobrar en un período determinado. Se expresa como un porcentaje y sirve para evaluar la eficiencia del proceso de cobro de una empresa</t>
  </si>
  <si>
    <t>AREA INFORMATICA</t>
  </si>
  <si>
    <t>NIVEL DE CUMPLIMIENTO PETI -PLAN ESTRETEGICO DE TECNOLOGIAS E INFORMACION</t>
  </si>
  <si>
    <r>
      <rPr>
        <sz val="10"/>
        <color theme="1"/>
        <rFont val="Calibri"/>
        <family val="2"/>
        <scheme val="minor"/>
      </rPr>
      <t>Medición de los equipos a los que se les realiza mantenimiento preventiv</t>
    </r>
    <r>
      <rPr>
        <b/>
        <sz val="10"/>
        <color theme="1"/>
        <rFont val="Calibri"/>
        <family val="2"/>
        <scheme val="minor"/>
      </rPr>
      <t>o</t>
    </r>
  </si>
  <si>
    <t xml:space="preserve">PERIODICIDAD </t>
  </si>
  <si>
    <t>Semestral (Consolidado anual)</t>
  </si>
  <si>
    <t>ANALISIS</t>
  </si>
  <si>
    <t>100% (32/32 equipos)</t>
  </si>
  <si>
    <t>LOGRO I SEMESTRE</t>
  </si>
  <si>
    <t>META 2025</t>
  </si>
  <si>
    <t>≥ 80%</t>
  </si>
  <si>
    <t>AGOSTO</t>
  </si>
  <si>
    <t>SEPTIEMBRE</t>
  </si>
  <si>
    <t>OCTUBRE</t>
  </si>
  <si>
    <t>NOVIEMBRE</t>
  </si>
  <si>
    <t>DICIEMBRE</t>
  </si>
  <si>
    <t>En el primer y segundo semestre de 2025 se realizó mantenimiento preventivo al 100% de los 34 equipos programados, superando la meta establecida del 80%. Esto garantiza la continuidad operativa y minimiza el riesgo de fallas. Aún falta la ejecución del segundo ciclo semestral para consolidar el cumplimiento anual.</t>
  </si>
  <si>
    <r>
      <rPr>
        <sz val="12"/>
        <color rgb="FF001D35"/>
        <rFont val="Arial"/>
      </rPr>
      <t> </t>
    </r>
    <r>
      <rPr>
        <sz val="11"/>
        <color theme="1"/>
        <rFont val="Calibri"/>
      </rPr>
      <t>Índice de Rotación de Cuentas por Pagar, que mide la frecuencia con la que una empresa paga sus deudas a proveedores en un período determinado, indicando así su capacidad para gestionar sus obligaciones a corto plazo y su liquidez</t>
    </r>
    <r>
      <rPr>
        <sz val="12"/>
        <color rgb="FF001D35"/>
        <rFont val="Arial"/>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</si>
</sst>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43" formatCode="_-* #,##0.00_-;\-* #,##0.00_-;_-* &quot;-&quot;??_-;_-@_-"/>
    <numFmt numFmtId="164" formatCode="0.0"/>
  </numFmts>
  <fonts count="18">
    <font>
      <sz val="11"/>
      <color theme="1"/>
      <name val="Calibri"/>
      <family val="2"/>
      <scheme val="minor"/>
    </font>
    <font>
      <sz val="8"/>
      <name val="Calibri"/>
      <family val="2"/>
      <scheme val="minor"/>
    </font>
    <font>
      <b/>
      <sz val="10"/>
      <color theme="1"/>
      <name val="Calibri"/>
      <family val="2"/>
      <scheme val="minor"/>
    </font>
    <font>
      <b/>
      <sz val="9"/>
      <color theme="1"/>
      <name val="Calibri"/>
      <family val="2"/>
      <scheme val="minor"/>
    </font>
    <font>
      <sz val="10"/>
      <color theme="1"/>
      <name val="Calibri"/>
      <family val="2"/>
      <scheme val="minor"/>
    </font>
    <font>
      <b/>
      <sz val="8"/>
      <color theme="1"/>
      <name val="Calibri"/>
      <family val="2"/>
      <scheme val="minor"/>
    </font>
    <font>
      <sz val="8"/>
      <color theme="1"/>
      <name val="Calibri"/>
      <family val="2"/>
      <scheme val="minor"/>
    </font>
    <font>
      <sz val="9"/>
      <color theme="1"/>
      <name val="Calibri"/>
      <family val="2"/>
      <scheme val="minor"/>
    </font>
    <font>
      <sz val="11"/>
      <color theme="1"/>
      <name val="Calibri"/>
      <family val="2"/>
      <scheme val="minor"/>
    </font>
    <font>
      <b/>
      <sz val="9"/>
      <color theme="1"/>
      <name val="Calibri"/>
    </font>
    <font>
      <sz val="11"/>
      <name val="Calibri"/>
    </font>
    <font>
      <b/>
      <sz val="8"/>
      <color theme="1"/>
      <name val="Calibri"/>
    </font>
    <font>
      <sz val="9"/>
      <color theme="1"/>
      <name val="Calibri"/>
    </font>
    <font>
      <b/>
      <sz val="10"/>
      <color theme="1"/>
      <name val="Calibri"/>
    </font>
    <font>
      <sz val="10"/>
      <color theme="1"/>
      <name val="Calibri"/>
    </font>
    <font>
      <u/>
      <sz val="10"/>
      <color theme="1"/>
      <name val="Calibri"/>
    </font>
    <font>
      <sz val="12"/>
      <color rgb="FF001D35"/>
      <name val="Arial"/>
    </font>
    <font>
      <sz val="11"/>
      <color theme="1"/>
      <name val="Calibri"/>
    </font>
  </fonts>
  <fills count="4">
    <fill>
      <patternFill patternType="none"/>
    </fill>
    <fill>
      <patternFill patternType="gray125"/>
    </fill>
    <fill>
      <patternFill patternType="solid">
        <fgColor theme="4" tint="0.79998168889431442"/>
        <bgColor indexed="64"/>
      </patternFill>
    </fill>
    <fill>
      <patternFill patternType="solid">
        <fgColor rgb="FFDBE5F1"/>
        <bgColor rgb="FFDBE5F1"/>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4">
    <xf numFmtId="0" fontId="0" fillId="0" borderId="0"/>
    <xf numFmtId="43" fontId="8" fillId="0" borderId="0" applyFont="0" applyFill="0" applyBorder="0" applyAlignment="0" applyProtection="0"/>
    <xf numFmtId="44" fontId="8" fillId="0" borderId="0" applyFont="0" applyFill="0" applyBorder="0" applyAlignment="0" applyProtection="0"/>
    <xf numFmtId="9" fontId="8" fillId="0" borderId="0" applyFont="0" applyFill="0" applyBorder="0" applyAlignment="0" applyProtection="0"/>
  </cellStyleXfs>
  <cellXfs count="85">
    <xf numFmtId="0" fontId="0" fillId="0" borderId="0" xfId="0"/>
    <xf numFmtId="0" fontId="3" fillId="2" borderId="1" xfId="0" applyFont="1" applyFill="1" applyBorder="1" applyAlignment="1">
      <alignment horizontal="center" vertical="center"/>
    </xf>
    <xf numFmtId="0" fontId="4" fillId="0" borderId="0" xfId="0" applyFont="1"/>
    <xf numFmtId="0" fontId="4" fillId="0" borderId="1" xfId="0" applyFont="1" applyBorder="1" applyAlignment="1">
      <alignment horizontal="left" vertical="top" wrapText="1"/>
    </xf>
    <xf numFmtId="0" fontId="4" fillId="0" borderId="1" xfId="0" applyFont="1" applyBorder="1" applyAlignment="1">
      <alignment horizontal="left" vertical="center" wrapText="1"/>
    </xf>
    <xf numFmtId="0" fontId="4" fillId="0" borderId="1" xfId="0" applyFont="1" applyBorder="1"/>
    <xf numFmtId="0" fontId="4" fillId="0" borderId="1" xfId="0" applyFont="1" applyBorder="1" applyAlignment="1">
      <alignment vertical="top" wrapText="1"/>
    </xf>
    <xf numFmtId="0" fontId="4" fillId="0" borderId="1" xfId="0" applyFont="1" applyBorder="1" applyAlignment="1">
      <alignment vertical="center" wrapText="1"/>
    </xf>
    <xf numFmtId="0" fontId="4" fillId="0" borderId="1" xfId="0" applyFont="1" applyBorder="1" applyAlignment="1">
      <alignment vertical="center"/>
    </xf>
    <xf numFmtId="0" fontId="4" fillId="0" borderId="1" xfId="0" applyFont="1" applyBorder="1" applyAlignment="1">
      <alignment horizontal="center" vertical="center"/>
    </xf>
    <xf numFmtId="0" fontId="4" fillId="0" borderId="1" xfId="0" applyFont="1" applyBorder="1" applyAlignment="1">
      <alignment horizontal="center"/>
    </xf>
    <xf numFmtId="0" fontId="4" fillId="0" borderId="1" xfId="0" applyFont="1" applyBorder="1" applyAlignment="1">
      <alignment wrapText="1"/>
    </xf>
    <xf numFmtId="0" fontId="6" fillId="0" borderId="0" xfId="0" applyFont="1"/>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vertical="center"/>
    </xf>
    <xf numFmtId="0" fontId="5" fillId="2" borderId="2" xfId="0" applyFont="1" applyFill="1" applyBorder="1" applyAlignment="1">
      <alignment vertical="center"/>
    </xf>
    <xf numFmtId="0" fontId="6" fillId="0" borderId="1" xfId="0" applyFont="1" applyBorder="1" applyAlignment="1">
      <alignment horizontal="left" vertical="center" wrapText="1"/>
    </xf>
    <xf numFmtId="9" fontId="6" fillId="0" borderId="1" xfId="0" applyNumberFormat="1" applyFont="1" applyBorder="1" applyAlignment="1">
      <alignment horizontal="center" vertical="center"/>
    </xf>
    <xf numFmtId="0" fontId="6" fillId="0" borderId="1" xfId="0" applyFont="1" applyBorder="1" applyAlignment="1">
      <alignment vertical="center"/>
    </xf>
    <xf numFmtId="10" fontId="6" fillId="0" borderId="1" xfId="0" applyNumberFormat="1" applyFont="1" applyBorder="1" applyAlignment="1">
      <alignment vertical="center"/>
    </xf>
    <xf numFmtId="0" fontId="6" fillId="0" borderId="1" xfId="0" applyFont="1" applyBorder="1" applyAlignment="1">
      <alignment horizontal="center" vertical="center"/>
    </xf>
    <xf numFmtId="0" fontId="6" fillId="0" borderId="1" xfId="0" applyFont="1" applyBorder="1" applyAlignment="1">
      <alignment vertical="top" wrapText="1"/>
    </xf>
    <xf numFmtId="0" fontId="7" fillId="0" borderId="0" xfId="0" applyFont="1"/>
    <xf numFmtId="0" fontId="2" fillId="0" borderId="1" xfId="0" applyFont="1" applyBorder="1" applyAlignment="1">
      <alignment horizontal="left" vertical="top" wrapText="1"/>
    </xf>
    <xf numFmtId="0" fontId="2" fillId="0" borderId="1" xfId="0" applyFont="1" applyBorder="1" applyAlignment="1">
      <alignment horizontal="left" vertical="center" wrapText="1"/>
    </xf>
    <xf numFmtId="164" fontId="4" fillId="0" borderId="1" xfId="0" applyNumberFormat="1" applyFont="1" applyBorder="1" applyAlignment="1">
      <alignment horizontal="center" vertical="center"/>
    </xf>
    <xf numFmtId="0" fontId="2" fillId="0" borderId="1" xfId="0" applyFont="1" applyBorder="1" applyAlignment="1">
      <alignment vertical="top" wrapText="1"/>
    </xf>
    <xf numFmtId="0" fontId="2" fillId="0" borderId="1" xfId="0" applyFont="1" applyBorder="1" applyAlignment="1">
      <alignment vertical="center" wrapText="1"/>
    </xf>
    <xf numFmtId="44" fontId="4" fillId="0" borderId="1" xfId="2" applyFont="1" applyBorder="1" applyAlignment="1">
      <alignment horizontal="center"/>
    </xf>
    <xf numFmtId="0" fontId="2" fillId="0" borderId="1" xfId="0" applyFont="1" applyBorder="1" applyAlignment="1">
      <alignment vertical="top"/>
    </xf>
    <xf numFmtId="44" fontId="7" fillId="0" borderId="0" xfId="2" applyFont="1"/>
    <xf numFmtId="44" fontId="7" fillId="0" borderId="0" xfId="0" applyNumberFormat="1" applyFont="1"/>
    <xf numFmtId="0" fontId="6" fillId="2" borderId="0" xfId="0" applyFont="1" applyFill="1"/>
    <xf numFmtId="3" fontId="7" fillId="0" borderId="1" xfId="1" applyNumberFormat="1" applyFont="1" applyBorder="1" applyAlignment="1">
      <alignment horizontal="center" vertical="center"/>
    </xf>
    <xf numFmtId="0" fontId="2" fillId="2" borderId="1" xfId="0" applyFont="1" applyFill="1" applyBorder="1" applyAlignment="1">
      <alignment vertical="center"/>
    </xf>
    <xf numFmtId="0" fontId="4" fillId="0" borderId="0" xfId="0" applyFont="1" applyAlignment="1">
      <alignment wrapText="1"/>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4" fillId="0" borderId="1" xfId="0" applyFont="1" applyBorder="1" applyAlignment="1">
      <alignment horizontal="center" vertical="center" wrapText="1"/>
    </xf>
    <xf numFmtId="9" fontId="4" fillId="0" borderId="1" xfId="0" applyNumberFormat="1" applyFont="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5" fillId="2" borderId="0" xfId="0" applyFont="1" applyFill="1" applyAlignment="1">
      <alignment horizontal="center"/>
    </xf>
    <xf numFmtId="10" fontId="6" fillId="0" borderId="1" xfId="0" applyNumberFormat="1" applyFont="1" applyBorder="1" applyAlignment="1">
      <alignment horizontal="center" vertical="center"/>
    </xf>
    <xf numFmtId="10" fontId="6" fillId="0" borderId="1" xfId="3" applyNumberFormat="1" applyFont="1" applyBorder="1" applyAlignment="1">
      <alignment horizontal="center" vertical="center"/>
    </xf>
    <xf numFmtId="0" fontId="11" fillId="3" borderId="5" xfId="0" applyFont="1" applyFill="1" applyBorder="1" applyAlignment="1">
      <alignment horizontal="center" vertical="center" wrapText="1"/>
    </xf>
    <xf numFmtId="0" fontId="9" fillId="3" borderId="5" xfId="0" applyFont="1" applyFill="1" applyBorder="1" applyAlignment="1">
      <alignment horizontal="center" vertical="center"/>
    </xf>
    <xf numFmtId="0" fontId="9" fillId="3" borderId="5" xfId="0" applyFont="1" applyFill="1" applyBorder="1" applyAlignment="1">
      <alignment vertical="center"/>
    </xf>
    <xf numFmtId="0" fontId="9" fillId="3" borderId="6" xfId="0" applyFont="1" applyFill="1" applyBorder="1" applyAlignment="1">
      <alignment vertical="center"/>
    </xf>
    <xf numFmtId="0" fontId="9" fillId="0" borderId="5" xfId="0" applyFont="1" applyBorder="1" applyAlignment="1">
      <alignment horizontal="left" vertical="center" wrapText="1"/>
    </xf>
    <xf numFmtId="0" fontId="12" fillId="0" borderId="5" xfId="0" applyFont="1" applyBorder="1" applyAlignment="1">
      <alignment horizontal="left" vertical="center" wrapText="1"/>
    </xf>
    <xf numFmtId="0" fontId="12" fillId="0" borderId="5" xfId="0" applyFont="1" applyBorder="1" applyAlignment="1">
      <alignment horizontal="center" vertical="center" wrapText="1"/>
    </xf>
    <xf numFmtId="2" fontId="12" fillId="0" borderId="5" xfId="0" applyNumberFormat="1" applyFont="1" applyBorder="1" applyAlignment="1">
      <alignment horizontal="center" vertical="center" wrapText="1"/>
    </xf>
    <xf numFmtId="0" fontId="13" fillId="3" borderId="5" xfId="0" applyFont="1" applyFill="1" applyBorder="1" applyAlignment="1">
      <alignment vertical="center"/>
    </xf>
    <xf numFmtId="0" fontId="13" fillId="3" borderId="6" xfId="0" applyFont="1" applyFill="1" applyBorder="1" applyAlignment="1">
      <alignment vertical="center"/>
    </xf>
    <xf numFmtId="0" fontId="13" fillId="0" borderId="5" xfId="0" applyFont="1" applyBorder="1" applyAlignment="1">
      <alignment horizontal="left" vertical="center" wrapText="1"/>
    </xf>
    <xf numFmtId="0" fontId="14" fillId="0" borderId="5" xfId="0" applyFont="1" applyBorder="1" applyAlignment="1">
      <alignment horizontal="center" vertical="center"/>
    </xf>
    <xf numFmtId="0" fontId="14" fillId="0" borderId="5" xfId="0" applyFont="1" applyBorder="1" applyAlignment="1">
      <alignment horizontal="center" vertical="center" wrapText="1"/>
    </xf>
    <xf numFmtId="2" fontId="14" fillId="0" borderId="5" xfId="0" applyNumberFormat="1" applyFont="1" applyBorder="1" applyAlignment="1">
      <alignment horizontal="center" vertical="center" wrapText="1"/>
    </xf>
    <xf numFmtId="0" fontId="13" fillId="0" borderId="5" xfId="0" applyFont="1" applyBorder="1" applyAlignment="1">
      <alignment horizontal="left" vertical="top" wrapText="1"/>
    </xf>
    <xf numFmtId="0" fontId="14" fillId="0" borderId="5" xfId="0" applyFont="1" applyBorder="1" applyAlignment="1">
      <alignment horizontal="left" vertical="top" wrapText="1"/>
    </xf>
    <xf numFmtId="9" fontId="14" fillId="0" borderId="5" xfId="0" applyNumberFormat="1" applyFont="1" applyBorder="1" applyAlignment="1">
      <alignment horizontal="center" vertical="center"/>
    </xf>
    <xf numFmtId="9" fontId="14" fillId="0" borderId="5" xfId="0" applyNumberFormat="1" applyFont="1" applyBorder="1" applyAlignment="1">
      <alignment horizontal="center" vertical="center" wrapText="1"/>
    </xf>
    <xf numFmtId="10" fontId="14" fillId="0" borderId="5" xfId="0" applyNumberFormat="1" applyFont="1" applyBorder="1" applyAlignment="1">
      <alignment horizontal="center" vertical="center" wrapText="1"/>
    </xf>
    <xf numFmtId="0" fontId="15" fillId="0" borderId="5" xfId="0" applyFont="1" applyBorder="1" applyAlignment="1">
      <alignment horizontal="left" vertical="top" wrapText="1"/>
    </xf>
    <xf numFmtId="0" fontId="14" fillId="0" borderId="5" xfId="0" applyFont="1" applyBorder="1" applyAlignment="1">
      <alignment vertical="center"/>
    </xf>
    <xf numFmtId="10" fontId="14" fillId="0" borderId="5" xfId="0" applyNumberFormat="1" applyFont="1" applyBorder="1" applyAlignment="1">
      <alignment vertical="center"/>
    </xf>
    <xf numFmtId="10" fontId="14" fillId="0" borderId="5" xfId="0" applyNumberFormat="1" applyFont="1" applyBorder="1" applyAlignment="1">
      <alignment horizontal="left" vertical="center" wrapText="1"/>
    </xf>
    <xf numFmtId="0" fontId="16" fillId="0" borderId="5" xfId="0" applyFont="1" applyBorder="1" applyAlignment="1">
      <alignment wrapText="1"/>
    </xf>
    <xf numFmtId="0" fontId="5" fillId="2" borderId="3" xfId="0" applyFont="1" applyFill="1" applyBorder="1" applyAlignment="1">
      <alignment horizontal="center"/>
    </xf>
    <xf numFmtId="0" fontId="2" fillId="2" borderId="1" xfId="0" applyFont="1" applyFill="1" applyBorder="1" applyAlignment="1">
      <alignment horizontal="center" vertical="center"/>
    </xf>
    <xf numFmtId="0" fontId="9" fillId="3" borderId="4" xfId="0" applyFont="1" applyFill="1" applyBorder="1" applyAlignment="1">
      <alignment horizontal="center" vertical="center"/>
    </xf>
    <xf numFmtId="0" fontId="10" fillId="0" borderId="4" xfId="0" applyFont="1" applyBorder="1"/>
    <xf numFmtId="0" fontId="13" fillId="3" borderId="4" xfId="0" applyFont="1" applyFill="1" applyBorder="1" applyAlignment="1">
      <alignment horizontal="center" vertical="center"/>
    </xf>
    <xf numFmtId="0" fontId="2" fillId="2" borderId="3" xfId="0" applyFont="1" applyFill="1" applyBorder="1" applyAlignment="1">
      <alignment horizontal="center" vertical="center"/>
    </xf>
    <xf numFmtId="1" fontId="4" fillId="0" borderId="1" xfId="0" applyNumberFormat="1" applyFont="1" applyBorder="1" applyAlignment="1">
      <alignment horizontal="center" vertical="center"/>
    </xf>
    <xf numFmtId="0" fontId="4" fillId="0" borderId="0" xfId="0" applyFont="1" applyAlignment="1">
      <alignment vertical="center"/>
    </xf>
    <xf numFmtId="0" fontId="3" fillId="0" borderId="1" xfId="0" applyFont="1" applyFill="1" applyBorder="1" applyAlignment="1">
      <alignment horizontal="left" vertical="top" wrapText="1"/>
    </xf>
    <xf numFmtId="0" fontId="7" fillId="0" borderId="1" xfId="0" applyFont="1" applyFill="1" applyBorder="1" applyAlignment="1">
      <alignment wrapText="1"/>
    </xf>
    <xf numFmtId="2" fontId="7" fillId="0" borderId="1" xfId="0" applyNumberFormat="1" applyFont="1" applyFill="1" applyBorder="1" applyAlignment="1">
      <alignment horizontal="center" vertical="center"/>
    </xf>
    <xf numFmtId="2"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xf>
    <xf numFmtId="0" fontId="3" fillId="0" borderId="1" xfId="0" applyFont="1" applyFill="1" applyBorder="1" applyAlignment="1">
      <alignment horizontal="left" vertical="center" wrapText="1"/>
    </xf>
    <xf numFmtId="0" fontId="7" fillId="0" borderId="1" xfId="0" applyFont="1" applyFill="1" applyBorder="1" applyAlignment="1">
      <alignment vertical="center" wrapText="1"/>
    </xf>
  </cellXfs>
  <cellStyles count="4">
    <cellStyle name="Millares" xfId="1" builtinId="3"/>
    <cellStyle name="Moneda" xfId="2"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oogle.com/search?sca_esv=cb1e697b99ad7555&amp;rlz=1C1CHZN_esCO1028CO1028&amp;cs=0&amp;q=l%C3%ADnea+de+aducci%C3%B3n&amp;sa=X&amp;ved=2ahUKEwj2tOq8wdGPAxVtRDABHdXyJfgQxccNegQIAhAB&amp;mstk=AUtExfA1nUL7ZGYm1OgtMAdIz-pTGNFbt6tgrqIjmcNwUilCHNvhBwvg09pfLVfiNI0ZBE728MqSn6am7T6I7oTwNAUfo4l0i-VYlVvcrmaBef6dz3ZSZgFpur1sdTJ6LV--zlEj0jJ__9KXpbwdX89hBujrbU4yn4Y4mvy5nCSQCeVjqZpfTfyuylp8Ysb4wtaw8Z9F&amp;csui=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google.com/search?rlz=1C1CHZN_esCO1028CO1028&amp;cs=0&amp;sca_esv=cb6c6d70115ecea7&amp;q=%C3%8Dndice+de+Efectividad+de+Cobranza+%28IEC%29&amp;sa=X&amp;ved=2ahUKEwj1w9Cv0O-PAxV2SjABHffvFkkQxccNegQIAhAB&amp;mstk=AUtExfB_w43nPRpVwjKuDfZYuXzFtvZwXVz4zghdnhcM7CW9JlY6RbahXIvvsV571ked5zYXEkzWEDZhb2LE9hUujuGxULVBhSkxOAY4WVcxcUwIxYca05f-p-DvEpIyP2Ev4tOF9dPwudRR8a47s7rtRQObdic_9GVoNgqLAj8W9SqHqgI&amp;csui=3"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O13"/>
  <sheetViews>
    <sheetView zoomScale="130" zoomScaleNormal="130" workbookViewId="0">
      <selection sqref="A1:XFD1048576"/>
    </sheetView>
  </sheetViews>
  <sheetFormatPr baseColWidth="10" defaultRowHeight="11.25"/>
  <cols>
    <col min="1" max="1" width="14.140625" style="12" customWidth="1"/>
    <col min="2" max="2" width="44.42578125" style="12" customWidth="1"/>
    <col min="3" max="3" width="6.42578125" style="12" customWidth="1"/>
    <col min="4" max="4" width="6.28515625" style="12" customWidth="1"/>
    <col min="5" max="5" width="5.5703125" style="12" customWidth="1"/>
    <col min="6" max="6" width="5.28515625" style="12" customWidth="1"/>
    <col min="7" max="7" width="5.85546875" style="12" customWidth="1"/>
    <col min="8" max="8" width="5.7109375" style="12" customWidth="1"/>
    <col min="9" max="9" width="5.5703125" style="12" customWidth="1"/>
    <col min="10" max="10" width="6.7109375" style="12" customWidth="1"/>
    <col min="11" max="11" width="8.5703125" style="12" customWidth="1"/>
    <col min="12" max="12" width="6.85546875" style="12" customWidth="1"/>
    <col min="13" max="13" width="8.42578125" style="12" customWidth="1"/>
    <col min="14" max="14" width="7.42578125" style="12" customWidth="1"/>
    <col min="15" max="15" width="7.7109375" style="12" customWidth="1"/>
    <col min="16" max="16384" width="11.42578125" style="12"/>
  </cols>
  <sheetData>
    <row r="1" spans="1:15">
      <c r="A1" s="70" t="s">
        <v>0</v>
      </c>
      <c r="B1" s="70"/>
      <c r="C1" s="70"/>
      <c r="D1" s="70"/>
      <c r="E1" s="70"/>
      <c r="F1" s="70"/>
      <c r="G1" s="70"/>
      <c r="H1" s="70"/>
      <c r="I1" s="70"/>
      <c r="J1" s="43"/>
      <c r="K1" s="43"/>
      <c r="L1" s="43"/>
      <c r="M1" s="43"/>
      <c r="N1" s="43"/>
      <c r="O1" s="33"/>
    </row>
    <row r="2" spans="1:15" ht="24" customHeight="1">
      <c r="A2" s="14" t="s">
        <v>74</v>
      </c>
      <c r="B2" s="13" t="s">
        <v>2</v>
      </c>
      <c r="C2" s="15" t="s">
        <v>24</v>
      </c>
      <c r="D2" s="15" t="s">
        <v>25</v>
      </c>
      <c r="E2" s="15" t="s">
        <v>26</v>
      </c>
      <c r="F2" s="15" t="s">
        <v>27</v>
      </c>
      <c r="G2" s="15" t="s">
        <v>28</v>
      </c>
      <c r="H2" s="15" t="s">
        <v>29</v>
      </c>
      <c r="I2" s="16" t="s">
        <v>30</v>
      </c>
      <c r="J2" s="15" t="s">
        <v>101</v>
      </c>
      <c r="K2" s="15" t="s">
        <v>102</v>
      </c>
      <c r="L2" s="16" t="s">
        <v>103</v>
      </c>
      <c r="M2" s="15" t="s">
        <v>104</v>
      </c>
      <c r="N2" s="15" t="s">
        <v>105</v>
      </c>
      <c r="O2" s="14" t="s">
        <v>32</v>
      </c>
    </row>
    <row r="3" spans="1:15" ht="42" customHeight="1">
      <c r="A3" s="37" t="s">
        <v>75</v>
      </c>
      <c r="B3" s="17" t="s">
        <v>3</v>
      </c>
      <c r="C3" s="18">
        <v>1</v>
      </c>
      <c r="D3" s="18">
        <v>1</v>
      </c>
      <c r="E3" s="18">
        <v>1</v>
      </c>
      <c r="F3" s="18">
        <v>1</v>
      </c>
      <c r="G3" s="18">
        <v>1</v>
      </c>
      <c r="H3" s="18">
        <v>1</v>
      </c>
      <c r="I3" s="18">
        <v>1</v>
      </c>
      <c r="J3" s="18">
        <v>1</v>
      </c>
      <c r="K3" s="18">
        <v>1</v>
      </c>
      <c r="L3" s="18">
        <v>1</v>
      </c>
      <c r="M3" s="18">
        <v>1</v>
      </c>
      <c r="N3" s="18">
        <v>1</v>
      </c>
      <c r="O3" s="18">
        <v>1</v>
      </c>
    </row>
    <row r="4" spans="1:15" ht="36" customHeight="1">
      <c r="A4" s="38" t="s">
        <v>76</v>
      </c>
      <c r="B4" s="17" t="s">
        <v>4</v>
      </c>
      <c r="C4" s="20">
        <v>0.74719999999999998</v>
      </c>
      <c r="D4" s="20">
        <v>0.74750000000000005</v>
      </c>
      <c r="E4" s="20">
        <v>0.76319999999999999</v>
      </c>
      <c r="F4" s="20">
        <v>0.80010000000000003</v>
      </c>
      <c r="G4" s="20">
        <v>0.80500000000000005</v>
      </c>
      <c r="H4" s="20">
        <v>0.80500000000000005</v>
      </c>
      <c r="I4" s="20">
        <v>0.80510000000000004</v>
      </c>
      <c r="J4" s="20">
        <v>0.80510000000000004</v>
      </c>
      <c r="K4" s="44">
        <v>0.80510000000000004</v>
      </c>
      <c r="L4" s="20">
        <v>0.80510000000000004</v>
      </c>
      <c r="M4" s="44">
        <v>0.78400000000000003</v>
      </c>
      <c r="N4" s="20">
        <v>0.78500000000000003</v>
      </c>
      <c r="O4" s="19" t="s">
        <v>31</v>
      </c>
    </row>
    <row r="5" spans="1:15" ht="98.25" customHeight="1">
      <c r="A5" s="37" t="s">
        <v>77</v>
      </c>
      <c r="B5" s="17" t="s">
        <v>5</v>
      </c>
      <c r="C5" s="18">
        <v>0</v>
      </c>
      <c r="D5" s="18">
        <v>0</v>
      </c>
      <c r="E5" s="18">
        <v>0</v>
      </c>
      <c r="F5" s="18">
        <v>0</v>
      </c>
      <c r="G5" s="18">
        <v>0</v>
      </c>
      <c r="H5" s="18">
        <v>0</v>
      </c>
      <c r="I5" s="18">
        <v>0</v>
      </c>
      <c r="J5" s="18">
        <v>0</v>
      </c>
      <c r="K5" s="18">
        <v>0</v>
      </c>
      <c r="L5" s="18">
        <v>0</v>
      </c>
      <c r="M5" s="18">
        <v>0</v>
      </c>
      <c r="N5" s="18">
        <v>0</v>
      </c>
      <c r="O5" s="19" t="s">
        <v>33</v>
      </c>
    </row>
    <row r="6" spans="1:15" ht="45">
      <c r="A6" s="37" t="s">
        <v>34</v>
      </c>
      <c r="B6" s="17" t="s">
        <v>35</v>
      </c>
      <c r="C6" s="20">
        <v>0.29820000000000002</v>
      </c>
      <c r="D6" s="20">
        <v>0.25640000000000002</v>
      </c>
      <c r="E6" s="20">
        <v>0.33260000000000001</v>
      </c>
      <c r="F6" s="20">
        <v>0.23949999999999999</v>
      </c>
      <c r="G6" s="20">
        <v>0.32650000000000001</v>
      </c>
      <c r="H6" s="20">
        <v>0.34320000000000001</v>
      </c>
      <c r="I6" s="20">
        <v>0.2432</v>
      </c>
      <c r="J6" s="20">
        <v>0.31919999999999998</v>
      </c>
      <c r="K6" s="44">
        <v>0.31559999999999999</v>
      </c>
      <c r="L6" s="20">
        <v>0.3286</v>
      </c>
      <c r="M6" s="44">
        <v>0.28549999999999998</v>
      </c>
      <c r="N6" s="20">
        <v>0.28549999999999998</v>
      </c>
      <c r="O6" s="21" t="s">
        <v>36</v>
      </c>
    </row>
    <row r="7" spans="1:15" ht="86.25" customHeight="1">
      <c r="A7" s="37" t="s">
        <v>37</v>
      </c>
      <c r="B7" s="17" t="s">
        <v>38</v>
      </c>
      <c r="C7" s="20">
        <v>0.31180000000000002</v>
      </c>
      <c r="D7" s="20">
        <v>0.3463</v>
      </c>
      <c r="E7" s="20">
        <v>0.33139999999999997</v>
      </c>
      <c r="F7" s="20">
        <v>0.33929999999999999</v>
      </c>
      <c r="G7" s="20">
        <v>0.34749999999999998</v>
      </c>
      <c r="H7" s="20">
        <v>0.34739999999999999</v>
      </c>
      <c r="I7" s="20">
        <v>0.35899999999999999</v>
      </c>
      <c r="J7" s="20">
        <v>0.34300000000000003</v>
      </c>
      <c r="K7" s="44">
        <v>0.33560000000000001</v>
      </c>
      <c r="L7" s="20">
        <v>0.34010000000000001</v>
      </c>
      <c r="M7" s="20">
        <v>0.36670000000000003</v>
      </c>
      <c r="N7" s="20">
        <v>0.33689999999999998</v>
      </c>
      <c r="O7" s="18">
        <v>0.3</v>
      </c>
    </row>
    <row r="8" spans="1:15" ht="72" customHeight="1">
      <c r="A8" s="37" t="s">
        <v>78</v>
      </c>
      <c r="B8" s="17" t="s">
        <v>88</v>
      </c>
      <c r="C8" s="20">
        <v>0.9103</v>
      </c>
      <c r="D8" s="45">
        <v>0.91049999999999998</v>
      </c>
      <c r="E8" s="44">
        <v>0.9093</v>
      </c>
      <c r="F8" s="44">
        <v>0.90449999999999997</v>
      </c>
      <c r="G8" s="44">
        <v>0.90090000000000003</v>
      </c>
      <c r="H8" s="44">
        <v>0.92430000000000001</v>
      </c>
      <c r="I8" s="44">
        <v>0.92479999999999996</v>
      </c>
      <c r="J8" s="44">
        <v>0.92510000000000003</v>
      </c>
      <c r="K8" s="44">
        <v>0.9254</v>
      </c>
      <c r="L8" s="44">
        <v>0.92579999999999996</v>
      </c>
      <c r="M8" s="44">
        <v>0.92889999999999995</v>
      </c>
      <c r="N8" s="44">
        <v>0.93559999999999999</v>
      </c>
      <c r="O8" s="21" t="s">
        <v>89</v>
      </c>
    </row>
    <row r="9" spans="1:15" ht="45.75" customHeight="1">
      <c r="A9" s="38" t="s">
        <v>79</v>
      </c>
      <c r="B9" s="17" t="s">
        <v>82</v>
      </c>
      <c r="C9" s="21">
        <v>21</v>
      </c>
      <c r="D9" s="21">
        <v>14</v>
      </c>
      <c r="E9" s="21">
        <v>21</v>
      </c>
      <c r="F9" s="21">
        <v>28</v>
      </c>
      <c r="G9" s="21">
        <v>27</v>
      </c>
      <c r="H9" s="21">
        <v>17</v>
      </c>
      <c r="I9" s="21">
        <v>28</v>
      </c>
      <c r="J9" s="21">
        <v>14</v>
      </c>
      <c r="K9" s="21">
        <v>35</v>
      </c>
      <c r="L9" s="21">
        <v>21</v>
      </c>
      <c r="M9" s="21">
        <v>24</v>
      </c>
      <c r="N9" s="21">
        <v>9</v>
      </c>
      <c r="O9" s="21" t="s">
        <v>87</v>
      </c>
    </row>
    <row r="10" spans="1:15" ht="45">
      <c r="A10" s="38" t="s">
        <v>80</v>
      </c>
      <c r="B10" s="17" t="s">
        <v>81</v>
      </c>
      <c r="C10" s="21">
        <v>24</v>
      </c>
      <c r="D10" s="21">
        <v>16</v>
      </c>
      <c r="E10" s="21">
        <v>24</v>
      </c>
      <c r="F10" s="21">
        <v>32</v>
      </c>
      <c r="G10" s="21">
        <v>30</v>
      </c>
      <c r="H10" s="21">
        <v>17</v>
      </c>
      <c r="I10" s="21">
        <v>2</v>
      </c>
      <c r="J10" s="21">
        <v>16</v>
      </c>
      <c r="K10" s="21">
        <v>40</v>
      </c>
      <c r="L10" s="21">
        <v>24</v>
      </c>
      <c r="M10" s="21">
        <v>26</v>
      </c>
      <c r="N10" s="21">
        <v>10</v>
      </c>
      <c r="O10" s="21" t="s">
        <v>87</v>
      </c>
    </row>
    <row r="11" spans="1:15" ht="45">
      <c r="A11" s="38" t="s">
        <v>40</v>
      </c>
      <c r="B11" s="22" t="s">
        <v>83</v>
      </c>
      <c r="C11" s="21">
        <v>4</v>
      </c>
      <c r="D11" s="21">
        <v>5</v>
      </c>
      <c r="E11" s="21">
        <v>4</v>
      </c>
      <c r="F11" s="21">
        <v>2</v>
      </c>
      <c r="G11" s="21">
        <v>2</v>
      </c>
      <c r="H11" s="21">
        <v>3</v>
      </c>
      <c r="I11" s="21">
        <v>9</v>
      </c>
      <c r="J11" s="21">
        <v>2</v>
      </c>
      <c r="K11" s="21">
        <v>4</v>
      </c>
      <c r="L11" s="21">
        <v>2</v>
      </c>
      <c r="M11" s="21">
        <v>8</v>
      </c>
      <c r="N11" s="21">
        <v>3</v>
      </c>
      <c r="O11" s="21" t="s">
        <v>87</v>
      </c>
    </row>
    <row r="12" spans="1:15" ht="56.25">
      <c r="A12" s="38" t="s">
        <v>41</v>
      </c>
      <c r="B12" s="22" t="s">
        <v>42</v>
      </c>
      <c r="C12" s="21">
        <v>2</v>
      </c>
      <c r="D12" s="21">
        <v>2</v>
      </c>
      <c r="E12" s="21">
        <v>2</v>
      </c>
      <c r="F12" s="21">
        <v>2</v>
      </c>
      <c r="G12" s="21">
        <v>0</v>
      </c>
      <c r="H12" s="21">
        <v>1</v>
      </c>
      <c r="I12" s="21">
        <v>2</v>
      </c>
      <c r="J12" s="21">
        <v>4</v>
      </c>
      <c r="K12" s="21">
        <v>0</v>
      </c>
      <c r="L12" s="21">
        <v>2</v>
      </c>
      <c r="M12" s="21">
        <v>0</v>
      </c>
      <c r="N12" s="21">
        <v>0</v>
      </c>
      <c r="O12" s="21" t="s">
        <v>87</v>
      </c>
    </row>
    <row r="13" spans="1:15" ht="33.75">
      <c r="A13" s="38" t="s">
        <v>64</v>
      </c>
      <c r="B13" s="22" t="s">
        <v>65</v>
      </c>
      <c r="C13" s="21">
        <v>18</v>
      </c>
      <c r="D13" s="21">
        <v>22</v>
      </c>
      <c r="E13" s="21">
        <v>18</v>
      </c>
      <c r="F13" s="21">
        <v>35</v>
      </c>
      <c r="G13" s="21">
        <v>25</v>
      </c>
      <c r="H13" s="21">
        <v>47</v>
      </c>
      <c r="I13" s="21">
        <v>28</v>
      </c>
      <c r="J13" s="21">
        <v>28</v>
      </c>
      <c r="K13" s="21">
        <v>36</v>
      </c>
      <c r="L13" s="21">
        <v>25</v>
      </c>
      <c r="M13" s="21">
        <v>18</v>
      </c>
      <c r="N13" s="21">
        <v>29</v>
      </c>
      <c r="O13" s="21" t="s">
        <v>87</v>
      </c>
    </row>
  </sheetData>
  <mergeCells count="1">
    <mergeCell ref="A1:I1"/>
  </mergeCells>
  <phoneticPr fontId="1" type="noConversion"/>
  <hyperlinks>
    <hyperlink ref="B12" r:id="rId1" display="https://www.google.com/search?sca_esv=cb1e697b99ad7555&amp;rlz=1C1CHZN_esCO1028CO1028&amp;cs=0&amp;q=l%C3%ADnea+de+aducci%C3%B3n&amp;sa=X&amp;ved=2ahUKEwj2tOq8wdGPAxVtRDABHdXyJfgQxccNegQIAhAB&amp;mstk=AUtExfA1nUL7ZGYm1OgtMAdIz-pTGNFbt6tgrqIjmcNwUilCHNvhBwvg09pfLVfiNI0ZBE728MqSn6am7T6I7oTwNAUfo4l0i-VYlVvcrmaBef6dz3ZSZgFpur1sdTJ6LV--zlEj0jJ__9KXpbwdX89hBujrbU4yn4Y4mvy5nCSQCeVjqZpfTfyuylp8Ysb4wtaw8Z9F&amp;csui=3" xr:uid="{F118B755-B2A1-4996-BF21-C2A9F60EC776}"/>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O21"/>
  <sheetViews>
    <sheetView tabSelected="1" zoomScaleNormal="100" workbookViewId="0">
      <pane ySplit="1" topLeftCell="A2" activePane="bottomLeft" state="frozen"/>
      <selection pane="bottomLeft" activeCell="A14" sqref="A14:N15"/>
    </sheetView>
  </sheetViews>
  <sheetFormatPr baseColWidth="10" defaultRowHeight="12.75"/>
  <cols>
    <col min="1" max="1" width="26.140625" style="2" customWidth="1"/>
    <col min="2" max="2" width="81.140625" style="2" customWidth="1"/>
    <col min="3" max="3" width="17.42578125" style="2" customWidth="1"/>
    <col min="4" max="4" width="17.7109375" style="2" customWidth="1"/>
    <col min="5" max="5" width="17.5703125" style="2" customWidth="1"/>
    <col min="6" max="14" width="17.42578125" style="2" bestFit="1" customWidth="1"/>
    <col min="15" max="16384" width="11.42578125" style="2"/>
  </cols>
  <sheetData>
    <row r="1" spans="1:14">
      <c r="A1" s="71" t="s">
        <v>6</v>
      </c>
      <c r="B1" s="71"/>
      <c r="C1" s="71"/>
      <c r="D1" s="71"/>
      <c r="E1" s="71"/>
      <c r="F1" s="71"/>
      <c r="G1" s="71"/>
      <c r="H1" s="71"/>
      <c r="I1" s="71"/>
      <c r="J1" s="71"/>
      <c r="K1" s="71"/>
      <c r="L1" s="71"/>
      <c r="M1" s="71"/>
      <c r="N1" s="71"/>
    </row>
    <row r="2" spans="1:14">
      <c r="A2" s="14" t="s">
        <v>74</v>
      </c>
      <c r="B2" s="1" t="s">
        <v>1</v>
      </c>
      <c r="C2" s="1" t="s">
        <v>24</v>
      </c>
      <c r="D2" s="1" t="s">
        <v>25</v>
      </c>
      <c r="E2" s="1" t="s">
        <v>26</v>
      </c>
      <c r="F2" s="1" t="s">
        <v>27</v>
      </c>
      <c r="G2" s="1" t="s">
        <v>28</v>
      </c>
      <c r="H2" s="1" t="s">
        <v>29</v>
      </c>
      <c r="I2" s="1" t="s">
        <v>30</v>
      </c>
      <c r="J2" s="1" t="s">
        <v>101</v>
      </c>
      <c r="K2" s="1" t="s">
        <v>102</v>
      </c>
      <c r="L2" s="1" t="s">
        <v>103</v>
      </c>
      <c r="M2" s="1" t="s">
        <v>104</v>
      </c>
      <c r="N2" s="1" t="s">
        <v>105</v>
      </c>
    </row>
    <row r="3" spans="1:14" ht="76.5">
      <c r="A3" s="24" t="s">
        <v>15</v>
      </c>
      <c r="B3" s="4" t="s">
        <v>11</v>
      </c>
      <c r="C3" s="9">
        <f>(175/14184)*100%</f>
        <v>1.2337845459672871E-2</v>
      </c>
      <c r="D3" s="9">
        <f>(183/14218)*100%</f>
        <v>1.2871008580672387E-2</v>
      </c>
      <c r="E3" s="9">
        <f>(119/14232)*100%</f>
        <v>8.3614390106801582E-3</v>
      </c>
      <c r="F3" s="9">
        <f>(158/14217)*100%</f>
        <v>1.1113455722022931E-2</v>
      </c>
      <c r="G3" s="9">
        <f>(255/14309)*100%</f>
        <v>1.7820951848486966E-2</v>
      </c>
      <c r="H3" s="9">
        <f>(201/14311)*100%</f>
        <v>1.4045140102019425E-2</v>
      </c>
      <c r="I3" s="9">
        <f>(138/14316)*100%</f>
        <v>9.6395641240569988E-3</v>
      </c>
      <c r="J3" s="9">
        <f>(159/14337)*100%</f>
        <v>1.1090186231429169E-2</v>
      </c>
      <c r="K3" s="9">
        <f>(94/14352)*100%</f>
        <v>6.549609810479376E-3</v>
      </c>
      <c r="L3" s="9">
        <f>(119/14361)*100%</f>
        <v>8.2863310354432135E-3</v>
      </c>
      <c r="M3" s="9">
        <f>(117/14404)*100%</f>
        <v>8.1227436823104685E-3</v>
      </c>
      <c r="N3" s="9">
        <f>(80/14414)*100%</f>
        <v>5.5501595670875538E-3</v>
      </c>
    </row>
    <row r="4" spans="1:14" ht="25.5">
      <c r="A4" s="25" t="s">
        <v>7</v>
      </c>
      <c r="B4" s="3" t="s">
        <v>55</v>
      </c>
      <c r="C4" s="26">
        <f>(130098/14184)</f>
        <v>9.1721658206429773</v>
      </c>
      <c r="D4" s="26">
        <f>(117083/14218)</f>
        <v>8.2348431565621052</v>
      </c>
      <c r="E4" s="26">
        <f>(111670/14232)</f>
        <v>7.8464024732996069</v>
      </c>
      <c r="F4" s="26">
        <f>(112622/14267)</f>
        <v>7.8938809840891571</v>
      </c>
      <c r="G4" s="26">
        <f>(125670/14309)</f>
        <v>8.782584387448459</v>
      </c>
      <c r="H4" s="26">
        <f>(117965/14311)</f>
        <v>8.2429599608692605</v>
      </c>
      <c r="I4" s="26">
        <f>(110588/14316)</f>
        <v>7.7247834590667788</v>
      </c>
      <c r="J4" s="26">
        <f>(129835/14337)</f>
        <v>9.0559391783497247</v>
      </c>
      <c r="K4" s="26">
        <f>(115299/14352)</f>
        <v>8.0336538461538467</v>
      </c>
      <c r="L4" s="26">
        <f>(118959/14361)</f>
        <v>8.2834760810528518</v>
      </c>
      <c r="M4" s="26">
        <f>(117489/14404)</f>
        <v>8.1566925853929462</v>
      </c>
      <c r="N4" s="26">
        <f>(107907/14414)</f>
        <v>7.4862633550714586</v>
      </c>
    </row>
    <row r="5" spans="1:14" ht="25.5">
      <c r="A5" s="25" t="s">
        <v>8</v>
      </c>
      <c r="B5" s="3" t="s">
        <v>49</v>
      </c>
      <c r="C5" s="9">
        <f>(88/14184)</f>
        <v>6.2041737168640719E-3</v>
      </c>
      <c r="D5" s="9">
        <f>(74/14218)</f>
        <v>5.2046701364467573E-3</v>
      </c>
      <c r="E5" s="9">
        <f>(79/14232)</f>
        <v>5.5508712759977513E-3</v>
      </c>
      <c r="F5" s="9">
        <f>(88/14217)</f>
        <v>6.1897728072026446E-3</v>
      </c>
      <c r="G5" s="9">
        <f>(89/14309)</f>
        <v>6.219861625550353E-3</v>
      </c>
      <c r="H5" s="9">
        <f>(82/14311)</f>
        <v>5.7298581510726015E-3</v>
      </c>
      <c r="I5" s="9">
        <f>(91/14316)</f>
        <v>6.3565241687622244E-3</v>
      </c>
      <c r="J5" s="9">
        <f>(102/14337)</f>
        <v>7.1144590918602217E-3</v>
      </c>
      <c r="K5" s="9">
        <f>(99/14352)</f>
        <v>6.897993311036789E-3</v>
      </c>
      <c r="L5" s="9">
        <f>(101/14361)</f>
        <v>7.0329364250400388E-3</v>
      </c>
      <c r="M5" s="9">
        <f>(122/14404)</f>
        <v>8.469869480699806E-3</v>
      </c>
      <c r="N5" s="9">
        <f>(116/14414)</f>
        <v>8.047731372276953E-3</v>
      </c>
    </row>
    <row r="6" spans="1:14" s="77" customFormat="1" ht="38.25">
      <c r="A6" s="28" t="s">
        <v>9</v>
      </c>
      <c r="B6" s="7" t="s">
        <v>50</v>
      </c>
      <c r="C6" s="9">
        <f>(377782041/414433582)*100%</f>
        <v>0.91156232846014873</v>
      </c>
      <c r="D6" s="9">
        <f>(363520940/386033668)*100%</f>
        <v>0.94168195712919012</v>
      </c>
      <c r="E6" s="9">
        <f>(367315628/369040613)*100%</f>
        <v>0.99532575836036774</v>
      </c>
      <c r="F6" s="9">
        <f>(379540279/369304925)*100%</f>
        <v>1.027715184139502</v>
      </c>
      <c r="G6" s="9">
        <f>(396243874/402579437)*100%</f>
        <v>0.98426257672967032</v>
      </c>
      <c r="H6" s="9">
        <f>(369471025/386689641)*100%</f>
        <v>0.9554717422595761</v>
      </c>
      <c r="I6" s="9">
        <f>(405237744/362220729)*100%</f>
        <v>1.1187591199398199</v>
      </c>
      <c r="J6" s="9">
        <f>(367727199/420253894)*100%</f>
        <v>0.87501199691441767</v>
      </c>
      <c r="K6" s="9">
        <f>(418631403/374793517)*100%</f>
        <v>1.1169654329960035</v>
      </c>
      <c r="L6" s="9">
        <f>(415496985/397514669)*100%</f>
        <v>1.0452368614351688</v>
      </c>
      <c r="M6" s="9">
        <f>(353495343/388047418)*100%</f>
        <v>0.91095914211185391</v>
      </c>
      <c r="N6" s="9">
        <f>(393091643/361042869)*100%</f>
        <v>1.0887672261434418</v>
      </c>
    </row>
    <row r="7" spans="1:14" s="77" customFormat="1" ht="25.5">
      <c r="A7" s="28" t="s">
        <v>10</v>
      </c>
      <c r="B7" s="4" t="s">
        <v>48</v>
      </c>
      <c r="C7" s="9">
        <f>(377782041/2829468585)*100%</f>
        <v>0.13351695898047936</v>
      </c>
      <c r="D7" s="9">
        <f>(363520940/2858820491)*100%</f>
        <v>0.12715766559824898</v>
      </c>
      <c r="E7" s="9">
        <f>(367315628/2847297152)*100%</f>
        <v>0.12900502068847641</v>
      </c>
      <c r="F7" s="9">
        <f>(379540279/2726168982)*100%</f>
        <v>0.13922111266982348</v>
      </c>
      <c r="G7" s="9">
        <f>(396243874/2737433415)*100%</f>
        <v>0.14475014143860007</v>
      </c>
      <c r="H7" s="9">
        <f>(369471025/2702807079)*100%</f>
        <v>0.1366990000398767</v>
      </c>
      <c r="I7" s="9">
        <f>(405237744/2686276658)*100%</f>
        <v>0.15085480596094283</v>
      </c>
      <c r="J7" s="9">
        <f>(367727199/2702807079)*100%</f>
        <v>0.13605380933664485</v>
      </c>
      <c r="K7" s="9">
        <f>(418631403/2637125100)*100%</f>
        <v>0.15874537123779225</v>
      </c>
      <c r="L7" s="9">
        <f>(415496985/2619226719)*100%</f>
        <v>0.1586334554339891</v>
      </c>
      <c r="M7" s="9">
        <f>(353495343/2635502378)*100%</f>
        <v>0.13412825803187342</v>
      </c>
      <c r="N7" s="9">
        <f>(393091643/2603577665)*100%</f>
        <v>0.15098133936404007</v>
      </c>
    </row>
    <row r="8" spans="1:14">
      <c r="A8" s="27" t="s">
        <v>45</v>
      </c>
      <c r="B8" s="6" t="s">
        <v>56</v>
      </c>
      <c r="C8" s="29">
        <v>2858820491</v>
      </c>
      <c r="D8" s="29">
        <v>2847297152</v>
      </c>
      <c r="E8" s="29">
        <v>2726168982</v>
      </c>
      <c r="F8" s="29">
        <v>2737433415</v>
      </c>
      <c r="G8" s="29">
        <v>2756981687</v>
      </c>
      <c r="H8" s="29">
        <v>2702807079</v>
      </c>
      <c r="I8" s="29">
        <v>2702807079</v>
      </c>
      <c r="J8" s="29">
        <v>2686276658</v>
      </c>
      <c r="K8" s="29">
        <v>2637125100</v>
      </c>
      <c r="L8" s="29">
        <v>2619226719</v>
      </c>
      <c r="M8" s="29">
        <v>2635502378</v>
      </c>
      <c r="N8" s="29">
        <v>2603577665</v>
      </c>
    </row>
    <row r="9" spans="1:14">
      <c r="A9" s="24" t="s">
        <v>12</v>
      </c>
      <c r="B9" s="8" t="s">
        <v>51</v>
      </c>
      <c r="C9" s="29">
        <v>414433582</v>
      </c>
      <c r="D9" s="29">
        <v>386033668</v>
      </c>
      <c r="E9" s="29">
        <v>369040613</v>
      </c>
      <c r="F9" s="29">
        <v>369304925</v>
      </c>
      <c r="G9" s="29">
        <v>402579437</v>
      </c>
      <c r="H9" s="29">
        <v>386689641</v>
      </c>
      <c r="I9" s="29">
        <v>362220729</v>
      </c>
      <c r="J9" s="29">
        <v>420253894</v>
      </c>
      <c r="K9" s="29">
        <v>374793517</v>
      </c>
      <c r="L9" s="29">
        <v>397514669</v>
      </c>
      <c r="M9" s="29">
        <v>388047418</v>
      </c>
      <c r="N9" s="29">
        <v>361042869</v>
      </c>
    </row>
    <row r="10" spans="1:14">
      <c r="A10" s="30" t="s">
        <v>13</v>
      </c>
      <c r="B10" s="5" t="s">
        <v>52</v>
      </c>
      <c r="C10" s="29">
        <v>279669695</v>
      </c>
      <c r="D10" s="29">
        <v>253427449</v>
      </c>
      <c r="E10" s="29">
        <v>256042285</v>
      </c>
      <c r="F10" s="29">
        <v>259965041</v>
      </c>
      <c r="G10" s="29">
        <v>277749223</v>
      </c>
      <c r="H10" s="29">
        <v>265017176</v>
      </c>
      <c r="I10" s="29">
        <v>283430903</v>
      </c>
      <c r="J10" s="29">
        <v>266656332</v>
      </c>
      <c r="K10" s="29">
        <v>289132369</v>
      </c>
      <c r="L10" s="29">
        <v>306855942</v>
      </c>
      <c r="M10" s="29">
        <v>262530013</v>
      </c>
      <c r="N10" s="29">
        <v>279959347</v>
      </c>
    </row>
    <row r="11" spans="1:14">
      <c r="A11" s="27" t="s">
        <v>14</v>
      </c>
      <c r="B11" s="5" t="s">
        <v>53</v>
      </c>
      <c r="C11" s="29">
        <v>98112346</v>
      </c>
      <c r="D11" s="29">
        <v>110093491</v>
      </c>
      <c r="E11" s="29">
        <v>111273343</v>
      </c>
      <c r="F11" s="29">
        <v>119575238</v>
      </c>
      <c r="G11" s="29">
        <v>118494651</v>
      </c>
      <c r="H11" s="29">
        <v>104453849</v>
      </c>
      <c r="I11" s="29">
        <v>121806841</v>
      </c>
      <c r="J11" s="29">
        <v>100970867</v>
      </c>
      <c r="K11" s="29">
        <v>129499034</v>
      </c>
      <c r="L11" s="29">
        <v>108641043</v>
      </c>
      <c r="M11" s="29">
        <v>90965330</v>
      </c>
      <c r="N11" s="29">
        <v>113132296</v>
      </c>
    </row>
    <row r="12" spans="1:14" ht="25.5">
      <c r="A12" s="27" t="s">
        <v>17</v>
      </c>
      <c r="B12" s="8" t="s">
        <v>54</v>
      </c>
      <c r="C12" s="5">
        <f>(140/14184)*100%</f>
        <v>9.8702763677382972E-3</v>
      </c>
      <c r="D12" s="5">
        <f>(139/14218)*100%</f>
        <v>9.7763398508932346E-3</v>
      </c>
      <c r="E12" s="5">
        <f>(158/14232)*100%</f>
        <v>1.1101742551995503E-2</v>
      </c>
      <c r="F12" s="5">
        <f>(171/14217)*100%</f>
        <v>1.2027853977632412E-2</v>
      </c>
      <c r="G12" s="5">
        <f>(163/14309)*100%</f>
        <v>1.139143196589559E-2</v>
      </c>
      <c r="H12" s="5">
        <f>(184/14311)*100%</f>
        <v>1.2857242680455594E-2</v>
      </c>
      <c r="I12" s="9">
        <f>(177/14316)*100%</f>
        <v>1.2363788767812238E-2</v>
      </c>
      <c r="J12" s="9">
        <f>(196/14337)*100%</f>
        <v>1.3670921392201996E-2</v>
      </c>
      <c r="K12" s="9">
        <f>(201/14352)*100%</f>
        <v>1.4005016722408026E-2</v>
      </c>
      <c r="L12" s="9">
        <f>(144/14361)*100%</f>
        <v>1.0027156883225401E-2</v>
      </c>
      <c r="M12" s="9">
        <f>(137/14404)*100%</f>
        <v>9.511246875867815E-3</v>
      </c>
      <c r="N12" s="9">
        <f>(149/14414)*100%</f>
        <v>1.0337172193700568E-2</v>
      </c>
    </row>
    <row r="13" spans="1:14" ht="38.25">
      <c r="A13" s="28" t="s">
        <v>46</v>
      </c>
      <c r="B13" s="6" t="s">
        <v>57</v>
      </c>
      <c r="C13" s="34">
        <v>14184</v>
      </c>
      <c r="D13" s="34">
        <v>14218</v>
      </c>
      <c r="E13" s="34">
        <v>14232</v>
      </c>
      <c r="F13" s="34">
        <v>14217</v>
      </c>
      <c r="G13" s="34">
        <v>14309</v>
      </c>
      <c r="H13" s="34">
        <v>14311</v>
      </c>
      <c r="I13" s="34">
        <v>14316</v>
      </c>
      <c r="J13" s="34">
        <v>14337</v>
      </c>
      <c r="K13" s="34">
        <v>14352</v>
      </c>
      <c r="L13" s="34">
        <v>14361</v>
      </c>
      <c r="M13" s="34">
        <v>14404</v>
      </c>
      <c r="N13" s="34">
        <v>14414</v>
      </c>
    </row>
    <row r="14" spans="1:14" s="23" customFormat="1" ht="12">
      <c r="A14" s="78" t="s">
        <v>66</v>
      </c>
      <c r="B14" s="79" t="s">
        <v>67</v>
      </c>
      <c r="C14" s="80">
        <f>360/C15</f>
        <v>566.79653644303687</v>
      </c>
      <c r="D14" s="80">
        <f t="shared" ref="D14:H14" si="0">360/D15</f>
        <v>858.07621895181967</v>
      </c>
      <c r="E14" s="80">
        <f t="shared" si="0"/>
        <v>1023.1069539117572</v>
      </c>
      <c r="F14" s="80">
        <f t="shared" si="0"/>
        <v>924.44388814703564</v>
      </c>
      <c r="G14" s="80">
        <f t="shared" si="0"/>
        <v>751.1617149335043</v>
      </c>
      <c r="H14" s="81">
        <f t="shared" si="0"/>
        <v>810.8775860918181</v>
      </c>
      <c r="I14" s="80">
        <f>360/I15</f>
        <v>764.90702135007325</v>
      </c>
      <c r="J14" s="82">
        <v>684.23</v>
      </c>
      <c r="K14" s="82">
        <v>1012.96</v>
      </c>
      <c r="L14" s="82">
        <v>637</v>
      </c>
      <c r="M14" s="82">
        <v>589.01</v>
      </c>
      <c r="N14" s="82">
        <v>469.55</v>
      </c>
    </row>
    <row r="15" spans="1:14" s="23" customFormat="1" ht="12">
      <c r="A15" s="83" t="s">
        <v>68</v>
      </c>
      <c r="B15" s="84" t="s">
        <v>69</v>
      </c>
      <c r="C15" s="80">
        <v>0.63514855305785733</v>
      </c>
      <c r="D15" s="80">
        <v>0.4195431501874704</v>
      </c>
      <c r="E15" s="80">
        <v>0.3518693706689926</v>
      </c>
      <c r="F15" s="80">
        <v>0.38942331126401575</v>
      </c>
      <c r="G15" s="80">
        <v>0.47925765230442896</v>
      </c>
      <c r="H15" s="81">
        <v>0.44396343686732032</v>
      </c>
      <c r="I15" s="80">
        <v>0.47064543787896496</v>
      </c>
      <c r="J15" s="82">
        <v>0.53</v>
      </c>
      <c r="K15" s="82">
        <v>0.36</v>
      </c>
      <c r="L15" s="82">
        <v>0.56999999999999995</v>
      </c>
      <c r="M15" s="82">
        <v>0.61</v>
      </c>
      <c r="N15" s="82">
        <v>0.77</v>
      </c>
    </row>
    <row r="16" spans="1:14">
      <c r="A16" s="27" t="s">
        <v>19</v>
      </c>
      <c r="B16" s="5" t="s">
        <v>58</v>
      </c>
      <c r="C16" s="10">
        <v>0</v>
      </c>
      <c r="D16" s="10">
        <v>0</v>
      </c>
      <c r="E16" s="10">
        <v>0</v>
      </c>
      <c r="F16" s="10">
        <v>0</v>
      </c>
      <c r="G16" s="10">
        <v>0</v>
      </c>
      <c r="H16" s="10">
        <v>0</v>
      </c>
      <c r="I16" s="10">
        <v>0</v>
      </c>
      <c r="J16" s="10">
        <v>0</v>
      </c>
      <c r="K16" s="10">
        <v>0</v>
      </c>
      <c r="L16" s="10">
        <v>0</v>
      </c>
      <c r="M16" s="10">
        <v>0</v>
      </c>
      <c r="N16" s="10">
        <v>0</v>
      </c>
    </row>
    <row r="17" spans="1:15">
      <c r="A17" s="27" t="s">
        <v>23</v>
      </c>
      <c r="B17" s="8" t="s">
        <v>84</v>
      </c>
      <c r="C17" s="10">
        <v>0</v>
      </c>
      <c r="D17" s="10">
        <v>0</v>
      </c>
      <c r="E17" s="10">
        <v>0</v>
      </c>
      <c r="F17" s="10">
        <v>0</v>
      </c>
      <c r="G17" s="10">
        <v>0</v>
      </c>
      <c r="H17" s="10">
        <v>0</v>
      </c>
      <c r="I17" s="10">
        <v>0</v>
      </c>
      <c r="J17" s="10">
        <v>0</v>
      </c>
      <c r="K17" s="10">
        <v>0</v>
      </c>
      <c r="L17" s="10">
        <v>0</v>
      </c>
      <c r="M17" s="10">
        <v>0</v>
      </c>
      <c r="N17" s="10">
        <v>0</v>
      </c>
    </row>
    <row r="18" spans="1:15">
      <c r="A18" s="28" t="s">
        <v>20</v>
      </c>
      <c r="B18" s="11" t="s">
        <v>47</v>
      </c>
      <c r="C18" s="9">
        <v>140</v>
      </c>
      <c r="D18" s="9">
        <v>171</v>
      </c>
      <c r="E18" s="9">
        <v>143</v>
      </c>
      <c r="F18" s="9">
        <v>157</v>
      </c>
      <c r="G18" s="9">
        <v>240</v>
      </c>
      <c r="H18" s="9">
        <v>165</v>
      </c>
      <c r="I18" s="9">
        <v>205</v>
      </c>
      <c r="J18" s="76">
        <v>263.2</v>
      </c>
      <c r="K18" s="76">
        <v>295.2</v>
      </c>
      <c r="L18" s="76">
        <v>284.8</v>
      </c>
      <c r="M18" s="76">
        <v>243.20000000000002</v>
      </c>
      <c r="N18" s="76">
        <v>131.20000000000002</v>
      </c>
    </row>
    <row r="19" spans="1:15" ht="25.5">
      <c r="A19" s="27" t="s">
        <v>22</v>
      </c>
      <c r="B19" s="7" t="s">
        <v>59</v>
      </c>
      <c r="C19" s="10">
        <v>45</v>
      </c>
      <c r="D19" s="10">
        <v>16</v>
      </c>
      <c r="E19" s="10">
        <v>18</v>
      </c>
      <c r="F19" s="10">
        <v>71</v>
      </c>
      <c r="G19" s="10">
        <v>56</v>
      </c>
      <c r="H19" s="10">
        <v>45</v>
      </c>
      <c r="I19" s="10">
        <v>5</v>
      </c>
      <c r="J19" s="76">
        <v>9</v>
      </c>
      <c r="K19" s="76">
        <v>12</v>
      </c>
      <c r="L19" s="76">
        <v>19</v>
      </c>
      <c r="M19" s="76">
        <v>22</v>
      </c>
      <c r="N19" s="76">
        <v>16</v>
      </c>
    </row>
    <row r="20" spans="1:15">
      <c r="A20" s="27" t="s">
        <v>21</v>
      </c>
      <c r="B20" s="7" t="s">
        <v>60</v>
      </c>
      <c r="C20" s="9">
        <v>15</v>
      </c>
      <c r="D20" s="9">
        <v>21</v>
      </c>
      <c r="E20" s="9">
        <v>30</v>
      </c>
      <c r="F20" s="9">
        <v>20</v>
      </c>
      <c r="G20" s="9">
        <v>8</v>
      </c>
      <c r="H20" s="9">
        <v>20</v>
      </c>
      <c r="I20" s="9">
        <v>11</v>
      </c>
      <c r="J20" s="76">
        <v>16</v>
      </c>
      <c r="K20" s="76">
        <v>25</v>
      </c>
      <c r="L20" s="76">
        <v>22</v>
      </c>
      <c r="M20" s="76">
        <v>30</v>
      </c>
      <c r="N20" s="76">
        <v>18</v>
      </c>
    </row>
    <row r="21" spans="1:15" ht="38.25">
      <c r="A21" s="28" t="s">
        <v>39</v>
      </c>
      <c r="B21" s="7" t="s">
        <v>61</v>
      </c>
      <c r="C21" s="9">
        <v>79</v>
      </c>
      <c r="D21" s="9">
        <v>95</v>
      </c>
      <c r="E21" s="9">
        <v>120</v>
      </c>
      <c r="F21" s="9">
        <v>70</v>
      </c>
      <c r="G21" s="9">
        <v>188</v>
      </c>
      <c r="H21" s="9">
        <v>89</v>
      </c>
      <c r="I21" s="9">
        <v>123</v>
      </c>
      <c r="J21" s="9">
        <v>69</v>
      </c>
      <c r="K21" s="9">
        <v>88</v>
      </c>
      <c r="L21" s="9">
        <v>102</v>
      </c>
      <c r="M21" s="9">
        <v>55</v>
      </c>
      <c r="N21" s="9">
        <v>48</v>
      </c>
      <c r="O21" s="9"/>
    </row>
  </sheetData>
  <mergeCells count="2">
    <mergeCell ref="A1:I1"/>
    <mergeCell ref="J1:N1"/>
  </mergeCells>
  <phoneticPr fontId="1"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2:N10"/>
  <sheetViews>
    <sheetView workbookViewId="0">
      <selection activeCell="A2" sqref="A2:N5"/>
    </sheetView>
  </sheetViews>
  <sheetFormatPr baseColWidth="10" defaultRowHeight="12"/>
  <cols>
    <col min="1" max="1" width="17.85546875" style="23" customWidth="1"/>
    <col min="2" max="2" width="25.28515625" style="23" customWidth="1"/>
    <col min="3" max="3" width="7" style="23" customWidth="1"/>
    <col min="4" max="4" width="7.7109375" style="23" bestFit="1" customWidth="1"/>
    <col min="5" max="5" width="6" style="23" customWidth="1"/>
    <col min="6" max="6" width="6.140625" style="23" customWidth="1"/>
    <col min="7" max="7" width="7" style="23" customWidth="1"/>
    <col min="8" max="8" width="7.42578125" style="23" customWidth="1"/>
    <col min="9" max="9" width="7.28515625" style="23" customWidth="1"/>
    <col min="10" max="13" width="11.42578125" style="23"/>
    <col min="14" max="14" width="12.42578125" style="23" bestFit="1" customWidth="1"/>
    <col min="15" max="16384" width="11.42578125" style="23"/>
  </cols>
  <sheetData>
    <row r="2" spans="1:14" ht="15">
      <c r="A2" s="72" t="s">
        <v>18</v>
      </c>
      <c r="B2" s="73"/>
      <c r="C2" s="73"/>
      <c r="D2" s="73"/>
      <c r="E2" s="73"/>
      <c r="F2" s="73"/>
      <c r="G2" s="73"/>
      <c r="H2" s="73"/>
      <c r="I2" s="73"/>
      <c r="J2" s="73"/>
      <c r="K2" s="73"/>
      <c r="L2" s="73"/>
      <c r="M2" s="73"/>
      <c r="N2" s="73"/>
    </row>
    <row r="3" spans="1:14">
      <c r="A3" s="46" t="s">
        <v>74</v>
      </c>
      <c r="B3" s="47" t="s">
        <v>1</v>
      </c>
      <c r="C3" s="48" t="s">
        <v>24</v>
      </c>
      <c r="D3" s="48" t="s">
        <v>25</v>
      </c>
      <c r="E3" s="48" t="s">
        <v>26</v>
      </c>
      <c r="F3" s="48" t="s">
        <v>27</v>
      </c>
      <c r="G3" s="48" t="s">
        <v>28</v>
      </c>
      <c r="H3" s="48" t="s">
        <v>29</v>
      </c>
      <c r="I3" s="49" t="s">
        <v>30</v>
      </c>
      <c r="J3" s="48" t="s">
        <v>101</v>
      </c>
      <c r="K3" s="48" t="s">
        <v>102</v>
      </c>
      <c r="L3" s="48" t="s">
        <v>103</v>
      </c>
      <c r="M3" s="48" t="s">
        <v>104</v>
      </c>
      <c r="N3" s="48" t="s">
        <v>105</v>
      </c>
    </row>
    <row r="4" spans="1:14" ht="36">
      <c r="A4" s="50" t="s">
        <v>43</v>
      </c>
      <c r="B4" s="51" t="s">
        <v>62</v>
      </c>
      <c r="C4" s="52">
        <v>7.0000000000000007E-2</v>
      </c>
      <c r="D4" s="52">
        <v>0.11</v>
      </c>
      <c r="E4" s="52">
        <v>0.15</v>
      </c>
      <c r="F4" s="52">
        <v>0.25</v>
      </c>
      <c r="G4" s="52">
        <v>0.28999999999999998</v>
      </c>
      <c r="H4" s="52">
        <v>0.41</v>
      </c>
      <c r="I4" s="52">
        <v>0.46</v>
      </c>
      <c r="J4" s="52">
        <v>0.5</v>
      </c>
      <c r="K4" s="52">
        <v>0.54</v>
      </c>
      <c r="L4" s="52">
        <v>0.64</v>
      </c>
      <c r="M4" s="52">
        <v>0.73</v>
      </c>
      <c r="N4" s="52">
        <v>0.79</v>
      </c>
    </row>
    <row r="5" spans="1:14" ht="60">
      <c r="A5" s="50" t="s">
        <v>44</v>
      </c>
      <c r="B5" s="51" t="s">
        <v>63</v>
      </c>
      <c r="C5" s="52">
        <v>0.6</v>
      </c>
      <c r="D5" s="52">
        <v>0.11</v>
      </c>
      <c r="E5" s="53">
        <v>0.3</v>
      </c>
      <c r="F5" s="52">
        <v>0.31</v>
      </c>
      <c r="G5" s="52">
        <v>0.39</v>
      </c>
      <c r="H5" s="52">
        <v>0.43</v>
      </c>
      <c r="I5" s="52">
        <v>0.55000000000000004</v>
      </c>
      <c r="J5" s="52">
        <v>0.61</v>
      </c>
      <c r="K5" s="52">
        <v>0.68</v>
      </c>
      <c r="L5" s="52">
        <v>0.76</v>
      </c>
      <c r="M5" s="52">
        <v>0.82</v>
      </c>
      <c r="N5" s="52">
        <v>0.87</v>
      </c>
    </row>
    <row r="6" spans="1:14">
      <c r="N6" s="31"/>
    </row>
    <row r="7" spans="1:14">
      <c r="N7" s="31"/>
    </row>
    <row r="8" spans="1:14">
      <c r="N8" s="31"/>
    </row>
    <row r="9" spans="1:14">
      <c r="N9" s="31"/>
    </row>
    <row r="10" spans="1:14">
      <c r="N10" s="32"/>
    </row>
  </sheetData>
  <mergeCells count="1">
    <mergeCell ref="A2:N2"/>
  </mergeCells>
  <phoneticPr fontId="1"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N9"/>
  <sheetViews>
    <sheetView workbookViewId="0">
      <selection sqref="A1:N6"/>
    </sheetView>
  </sheetViews>
  <sheetFormatPr baseColWidth="10" defaultRowHeight="12.75"/>
  <cols>
    <col min="1" max="1" width="23.28515625" style="2" customWidth="1"/>
    <col min="2" max="2" width="41.5703125" style="2" customWidth="1"/>
    <col min="3" max="3" width="6.5703125" style="2" bestFit="1" customWidth="1"/>
    <col min="4" max="4" width="7.85546875" style="2" bestFit="1" customWidth="1"/>
    <col min="5" max="6" width="6.5703125" style="2" bestFit="1" customWidth="1"/>
    <col min="7" max="8" width="6.7109375" style="2" bestFit="1" customWidth="1"/>
    <col min="9" max="9" width="6.7109375" style="2" customWidth="1"/>
    <col min="10" max="16384" width="11.42578125" style="2"/>
  </cols>
  <sheetData>
    <row r="1" spans="1:14" ht="15">
      <c r="A1" s="74" t="s">
        <v>16</v>
      </c>
      <c r="B1" s="73"/>
      <c r="C1" s="73"/>
      <c r="D1" s="73"/>
      <c r="E1" s="73"/>
      <c r="F1" s="73"/>
      <c r="G1" s="73"/>
      <c r="H1" s="73"/>
      <c r="I1" s="73"/>
      <c r="J1" s="73"/>
      <c r="K1" s="73"/>
      <c r="L1" s="73"/>
      <c r="M1" s="73"/>
      <c r="N1" s="73"/>
    </row>
    <row r="2" spans="1:14">
      <c r="A2" s="46" t="s">
        <v>74</v>
      </c>
      <c r="B2" s="47" t="s">
        <v>1</v>
      </c>
      <c r="C2" s="54" t="s">
        <v>24</v>
      </c>
      <c r="D2" s="54" t="s">
        <v>25</v>
      </c>
      <c r="E2" s="54" t="s">
        <v>26</v>
      </c>
      <c r="F2" s="54" t="s">
        <v>27</v>
      </c>
      <c r="G2" s="54" t="s">
        <v>28</v>
      </c>
      <c r="H2" s="54" t="s">
        <v>29</v>
      </c>
      <c r="I2" s="55" t="s">
        <v>30</v>
      </c>
      <c r="J2" s="54" t="s">
        <v>101</v>
      </c>
      <c r="K2" s="54" t="s">
        <v>102</v>
      </c>
      <c r="L2" s="54" t="s">
        <v>103</v>
      </c>
      <c r="M2" s="54" t="s">
        <v>104</v>
      </c>
      <c r="N2" s="54" t="s">
        <v>105</v>
      </c>
    </row>
    <row r="3" spans="1:14" ht="72">
      <c r="A3" s="56" t="s">
        <v>70</v>
      </c>
      <c r="B3" s="51" t="s">
        <v>85</v>
      </c>
      <c r="C3" s="57">
        <v>4.5599999999999996</v>
      </c>
      <c r="D3" s="57">
        <v>5.93</v>
      </c>
      <c r="E3" s="57">
        <v>6.09</v>
      </c>
      <c r="F3" s="57">
        <v>5.44</v>
      </c>
      <c r="G3" s="57">
        <v>4.55</v>
      </c>
      <c r="H3" s="58">
        <v>4.22</v>
      </c>
      <c r="I3" s="57">
        <v>4.96</v>
      </c>
      <c r="J3" s="57">
        <v>4.63</v>
      </c>
      <c r="K3" s="58">
        <v>2.25</v>
      </c>
      <c r="L3" s="58">
        <v>2.54</v>
      </c>
      <c r="M3" s="58">
        <v>2.2799999999999998</v>
      </c>
      <c r="N3" s="59">
        <v>2.4</v>
      </c>
    </row>
    <row r="4" spans="1:14" ht="25.5">
      <c r="A4" s="60" t="s">
        <v>71</v>
      </c>
      <c r="B4" s="61" t="s">
        <v>86</v>
      </c>
      <c r="C4" s="58">
        <v>0.73</v>
      </c>
      <c r="D4" s="62">
        <v>0.73</v>
      </c>
      <c r="E4" s="62">
        <v>0.73</v>
      </c>
      <c r="F4" s="62">
        <v>0.74</v>
      </c>
      <c r="G4" s="62">
        <v>0.74</v>
      </c>
      <c r="H4" s="63">
        <v>0.74</v>
      </c>
      <c r="I4" s="62">
        <v>0.74</v>
      </c>
      <c r="J4" s="63">
        <v>0.75</v>
      </c>
      <c r="K4" s="64">
        <v>0.75149999999999995</v>
      </c>
      <c r="L4" s="64">
        <v>0.75209999999999999</v>
      </c>
      <c r="M4" s="63">
        <v>0.76</v>
      </c>
      <c r="N4" s="63">
        <v>0.76</v>
      </c>
    </row>
    <row r="5" spans="1:14" ht="89.25">
      <c r="A5" s="56" t="s">
        <v>72</v>
      </c>
      <c r="B5" s="65" t="s">
        <v>90</v>
      </c>
      <c r="C5" s="66">
        <v>4.6600000000000003E-2</v>
      </c>
      <c r="D5" s="67">
        <v>5.3699999999999998E-2</v>
      </c>
      <c r="E5" s="67">
        <v>5.96E-2</v>
      </c>
      <c r="F5" s="67">
        <v>4.4699999999999997E-2</v>
      </c>
      <c r="G5" s="67">
        <v>5.45E-2</v>
      </c>
      <c r="H5" s="68">
        <v>4.1500000000000002E-2</v>
      </c>
      <c r="I5" s="67">
        <v>4.6600000000000003E-2</v>
      </c>
      <c r="J5" s="64">
        <v>5.8599999999999999E-2</v>
      </c>
      <c r="K5" s="64">
        <v>4.7899999999999998E-2</v>
      </c>
      <c r="L5" s="64">
        <v>5.2499999999999998E-2</v>
      </c>
      <c r="M5" s="64">
        <v>4.7E-2</v>
      </c>
      <c r="N5" s="64">
        <v>4.1799999999999997E-2</v>
      </c>
    </row>
    <row r="6" spans="1:14" ht="91.5">
      <c r="A6" s="56" t="s">
        <v>73</v>
      </c>
      <c r="B6" s="69" t="s">
        <v>107</v>
      </c>
      <c r="C6" s="67">
        <v>0.81699999999999995</v>
      </c>
      <c r="D6" s="67">
        <v>0.82030000000000003</v>
      </c>
      <c r="E6" s="67">
        <v>0.81979999999999997</v>
      </c>
      <c r="F6" s="67">
        <v>0.81940000000000002</v>
      </c>
      <c r="G6" s="67">
        <v>0.82</v>
      </c>
      <c r="H6" s="68">
        <v>0.81899999999999995</v>
      </c>
      <c r="I6" s="67">
        <v>0.81840000000000002</v>
      </c>
      <c r="J6" s="64">
        <v>0.8175</v>
      </c>
      <c r="K6" s="64">
        <v>0.81530000000000002</v>
      </c>
      <c r="L6" s="64">
        <v>0.90759999999999996</v>
      </c>
      <c r="M6" s="64">
        <v>0.8175</v>
      </c>
      <c r="N6" s="64">
        <v>0.82040000000000002</v>
      </c>
    </row>
    <row r="8" spans="1:14">
      <c r="B8" s="36"/>
    </row>
    <row r="9" spans="1:14">
      <c r="B9" s="36"/>
    </row>
  </sheetData>
  <mergeCells count="1">
    <mergeCell ref="A1:N1"/>
  </mergeCells>
  <phoneticPr fontId="1" type="noConversion"/>
  <hyperlinks>
    <hyperlink ref="B5" r:id="rId1" xr:uid="{589D9B1E-521D-45C4-BA3A-563639A7D85D}"/>
  </hyperlinks>
  <pageMargins left="0.7" right="0.7" top="0.75" bottom="0.75" header="0.3" footer="0.3"/>
  <pageSetup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7051F-B204-42B6-B4A0-582B2F3848ED}">
  <sheetPr>
    <tabColor rgb="FFFFFF00"/>
  </sheetPr>
  <dimension ref="A1:G3"/>
  <sheetViews>
    <sheetView zoomScaleNormal="100" workbookViewId="0">
      <selection sqref="A1:G3"/>
    </sheetView>
  </sheetViews>
  <sheetFormatPr baseColWidth="10" defaultRowHeight="15"/>
  <cols>
    <col min="1" max="1" width="18.85546875" customWidth="1"/>
    <col min="2" max="2" width="22.140625" customWidth="1"/>
    <col min="3" max="3" width="11.85546875" customWidth="1"/>
    <col min="4" max="4" width="11.42578125" customWidth="1"/>
    <col min="5" max="5" width="9.42578125" customWidth="1"/>
    <col min="6" max="6" width="10.5703125" customWidth="1"/>
    <col min="7" max="7" width="40.85546875" customWidth="1"/>
  </cols>
  <sheetData>
    <row r="1" spans="1:7">
      <c r="A1" s="75" t="s">
        <v>91</v>
      </c>
      <c r="B1" s="75"/>
      <c r="C1" s="75"/>
      <c r="D1" s="75"/>
      <c r="E1" s="75"/>
      <c r="F1" s="75"/>
      <c r="G1" s="75"/>
    </row>
    <row r="2" spans="1:7" ht="25.5">
      <c r="A2" s="14" t="s">
        <v>74</v>
      </c>
      <c r="B2" s="1" t="s">
        <v>1</v>
      </c>
      <c r="C2" s="35" t="s">
        <v>94</v>
      </c>
      <c r="D2" s="42" t="s">
        <v>98</v>
      </c>
      <c r="E2" s="42" t="s">
        <v>98</v>
      </c>
      <c r="F2" s="42" t="s">
        <v>99</v>
      </c>
      <c r="G2" s="41" t="s">
        <v>96</v>
      </c>
    </row>
    <row r="3" spans="1:7" ht="112.5" customHeight="1">
      <c r="A3" s="25" t="s">
        <v>92</v>
      </c>
      <c r="B3" s="25" t="s">
        <v>93</v>
      </c>
      <c r="C3" s="39" t="s">
        <v>95</v>
      </c>
      <c r="D3" s="40" t="s">
        <v>97</v>
      </c>
      <c r="E3" s="40" t="s">
        <v>97</v>
      </c>
      <c r="F3" s="40" t="s">
        <v>100</v>
      </c>
      <c r="G3" s="4" t="s">
        <v>106</v>
      </c>
    </row>
  </sheetData>
  <mergeCells count="1">
    <mergeCell ref="A1:G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A6253-E619-4014-9AD4-C62C70AEF093}">
  <dimension ref="A1"/>
  <sheetViews>
    <sheetView workbookViewId="0">
      <selection activeCell="G14" sqref="G14"/>
    </sheetView>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AREA TECNICA</vt:lpstr>
      <vt:lpstr>AREA COMERCIAL</vt:lpstr>
      <vt:lpstr>AREA FINANCIERA</vt:lpstr>
      <vt:lpstr>AREA CONTABLE</vt:lpstr>
      <vt:lpstr>AREA INFORMATICA</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USER</cp:lastModifiedBy>
  <dcterms:created xsi:type="dcterms:W3CDTF">2020-03-03T19:46:32Z</dcterms:created>
  <dcterms:modified xsi:type="dcterms:W3CDTF">2026-05-20T14:02:14Z</dcterms:modified>
</cp:coreProperties>
</file>